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villarreal/Downloads/"/>
    </mc:Choice>
  </mc:AlternateContent>
  <xr:revisionPtr revIDLastSave="0" documentId="8_{F21B0379-7D23-874A-9595-2886F35ABD72}" xr6:coauthVersionLast="47" xr6:coauthVersionMax="47" xr10:uidLastSave="{00000000-0000-0000-0000-000000000000}"/>
  <bookViews>
    <workbookView xWindow="38100" yWindow="4120" windowWidth="29040" windowHeight="15720" xr2:uid="{C4ADCD60-0D25-4F75-89F4-B9E3B847EA96}"/>
  </bookViews>
  <sheets>
    <sheet name="2024" sheetId="1" r:id="rId1"/>
  </sheets>
  <definedNames>
    <definedName name="FIT_average_rate" localSheetId="0">'2024'!$C$48</definedName>
    <definedName name="FIT_marginal_rate" localSheetId="0">'2024'!$C$45</definedName>
    <definedName name="H" localSheetId="0">'2024'!$C$13</definedName>
    <definedName name="H">#REF!</definedName>
    <definedName name="Housing_Value" localSheetId="0">'2024'!$C$44</definedName>
    <definedName name="MC_tax_rate" localSheetId="0">'2024'!$C$40</definedName>
    <definedName name="Pension_Rate" localSheetId="0">'2024'!$C$43</definedName>
    <definedName name="_xlnm.Print_Area" localSheetId="0">'2024'!$A$1:$Q$50</definedName>
    <definedName name="Rectory?" localSheetId="0">'2024'!$A$9</definedName>
    <definedName name="Rectory?">#REF!</definedName>
    <definedName name="S" localSheetId="0">'2024'!$C$12</definedName>
    <definedName name="S">#REF!</definedName>
    <definedName name="SE_tax_base" localSheetId="0">'2024'!$C$38</definedName>
    <definedName name="SE_tax_base">#REF!</definedName>
    <definedName name="SE_tax_rate" localSheetId="0">'2024'!$C$39</definedName>
    <definedName name="SSR" localSheetId="0">'2024'!$C$18</definedName>
    <definedName name="SSR">#REF!</definedName>
    <definedName name="U" localSheetId="0">'2024'!$C$14</definedName>
    <definedName name="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36" i="1" l="1"/>
  <c r="P24" i="1"/>
  <c r="E24" i="1"/>
  <c r="D24" i="1"/>
  <c r="J39" i="1" s="1"/>
  <c r="I20" i="1"/>
  <c r="H20" i="1"/>
  <c r="I19" i="1"/>
  <c r="H19" i="1"/>
  <c r="I18" i="1"/>
  <c r="H18" i="1"/>
  <c r="C18" i="1"/>
  <c r="D18" i="1" s="1"/>
  <c r="Q17" i="1"/>
  <c r="P17" i="1"/>
  <c r="L17" i="1"/>
  <c r="J17" i="1"/>
  <c r="I17" i="1"/>
  <c r="H17" i="1"/>
  <c r="E17" i="1"/>
  <c r="J16" i="1"/>
  <c r="I16" i="1"/>
  <c r="E16" i="1"/>
  <c r="Q14" i="1"/>
  <c r="N14" i="1"/>
  <c r="J14" i="1"/>
  <c r="I14" i="1"/>
  <c r="H14" i="1"/>
  <c r="E14" i="1"/>
  <c r="Q13" i="1"/>
  <c r="N13" i="1"/>
  <c r="L13" i="1"/>
  <c r="J13" i="1"/>
  <c r="I13" i="1"/>
  <c r="H13" i="1"/>
  <c r="D13" i="1"/>
  <c r="J37" i="1" s="1"/>
  <c r="Q12" i="1"/>
  <c r="P12" i="1"/>
  <c r="L12" i="1"/>
  <c r="J12" i="1"/>
  <c r="I12" i="1"/>
  <c r="H12" i="1"/>
  <c r="D12" i="1"/>
  <c r="J36" i="1" s="1"/>
  <c r="L25" i="1" l="1"/>
  <c r="H25" i="1"/>
  <c r="H26" i="1" s="1"/>
  <c r="I25" i="1"/>
  <c r="I26" i="1" s="1"/>
  <c r="C15" i="1" s="1"/>
  <c r="J18" i="1"/>
  <c r="M18" i="1"/>
  <c r="P18" i="1"/>
  <c r="Q18" i="1"/>
  <c r="C19" i="1"/>
  <c r="C20" i="1" s="1"/>
  <c r="Q15" i="1" l="1"/>
  <c r="Q25" i="1" s="1"/>
  <c r="S39" i="1"/>
  <c r="D20" i="1"/>
  <c r="Q20" i="1"/>
  <c r="P20" i="1"/>
  <c r="M20" i="1"/>
  <c r="J20" i="1"/>
  <c r="N15" i="1"/>
  <c r="N25" i="1" s="1"/>
  <c r="J15" i="1"/>
  <c r="F15" i="1"/>
  <c r="F25" i="1" s="1"/>
  <c r="Q37" i="1"/>
  <c r="D19" i="1"/>
  <c r="D25" i="1" s="1"/>
  <c r="Q19" i="1"/>
  <c r="P19" i="1"/>
  <c r="P25" i="1" s="1"/>
  <c r="J33" i="1" s="1"/>
  <c r="M19" i="1"/>
  <c r="J19" i="1"/>
  <c r="J38" i="1"/>
  <c r="Q31" i="1" l="1"/>
  <c r="Q33" i="1" s="1"/>
  <c r="Q34" i="1" s="1"/>
  <c r="M25" i="1"/>
  <c r="J25" i="1"/>
  <c r="J26" i="1" s="1"/>
  <c r="Q36" i="1" l="1"/>
  <c r="Q39" i="1" s="1"/>
  <c r="S34" i="1"/>
  <c r="S35" i="1" s="1"/>
  <c r="C21" i="1"/>
  <c r="J27" i="1"/>
  <c r="E21" i="1" l="1"/>
  <c r="E25" i="1" s="1"/>
  <c r="C22" i="1"/>
  <c r="T39" i="1"/>
  <c r="J32" i="1"/>
  <c r="N39" i="1"/>
  <c r="J34" i="1"/>
  <c r="J40" i="1" s="1"/>
  <c r="J43" i="1" s="1"/>
</calcChain>
</file>

<file path=xl/sharedStrings.xml><?xml version="1.0" encoding="utf-8"?>
<sst xmlns="http://schemas.openxmlformats.org/spreadsheetml/2006/main" count="98" uniqueCount="95">
  <si>
    <r>
      <t xml:space="preserve">NOTE: Amounts in </t>
    </r>
    <r>
      <rPr>
        <i/>
        <sz val="10"/>
        <rFont val="Arial"/>
        <family val="1"/>
      </rPr>
      <t>bold and italics</t>
    </r>
    <r>
      <rPr>
        <sz val="10"/>
        <rFont val="Arial"/>
        <family val="1"/>
      </rPr>
      <t xml:space="preserve"> are amounts to be input.  The rest will calculate based on current tax law and Episcopal Canons of the Diocese of Texas.</t>
    </r>
  </si>
  <si>
    <t>Date:</t>
  </si>
  <si>
    <t>Church Name:</t>
  </si>
  <si>
    <t>Name of Clergy:</t>
  </si>
  <si>
    <t>&lt;=Place X here if Priest lives in Church-owned housing</t>
  </si>
  <si>
    <t>Cash Flow</t>
  </si>
  <si>
    <t>Group for Reporting</t>
  </si>
  <si>
    <t>Compute Tax Effects</t>
  </si>
  <si>
    <t>Annual Figures</t>
  </si>
  <si>
    <t>Paid to 
Rector</t>
  </si>
  <si>
    <t>Paid to 
Others</t>
  </si>
  <si>
    <t>Non-cash</t>
  </si>
  <si>
    <t>Compute 
Imputed 
Value of Rectory 
for SSR</t>
  </si>
  <si>
    <t>Compute 
Imputed 
Value of Rectory 
for Pension</t>
  </si>
  <si>
    <t>Compute
Pension</t>
  </si>
  <si>
    <t>Stipend</t>
  </si>
  <si>
    <t>SE Tax</t>
  </si>
  <si>
    <t>Housing</t>
  </si>
  <si>
    <t>Taxable
 for FIT</t>
  </si>
  <si>
    <t>Self Empl.
 Income 
for FICA</t>
  </si>
  <si>
    <t>S</t>
  </si>
  <si>
    <t>H</t>
  </si>
  <si>
    <t>Housing Expense paid to Priest</t>
  </si>
  <si>
    <t>U</t>
  </si>
  <si>
    <t>Utilities paid directly by Church</t>
  </si>
  <si>
    <t>R</t>
  </si>
  <si>
    <t>Rectory - Imputed Value</t>
  </si>
  <si>
    <t>EP</t>
  </si>
  <si>
    <t>Employer contributions to qualified or non-qualified plan (403b)</t>
  </si>
  <si>
    <t>T</t>
  </si>
  <si>
    <t>Other taxable compensation *</t>
  </si>
  <si>
    <t>SSR</t>
  </si>
  <si>
    <t>Social Security</t>
  </si>
  <si>
    <t>SMT</t>
  </si>
  <si>
    <t>Medicare Tax</t>
  </si>
  <si>
    <t>SMTA</t>
  </si>
  <si>
    <t>Additional Medicare Tax</t>
  </si>
  <si>
    <t>P</t>
  </si>
  <si>
    <t>Pension Premium</t>
  </si>
  <si>
    <t>Total Package</t>
  </si>
  <si>
    <t>TDA</t>
  </si>
  <si>
    <t>Tax Deferred Annuity</t>
  </si>
  <si>
    <t>(note that this amount is deducted from the clergy's gross pay upon their</t>
  </si>
  <si>
    <t>request and sent directly to the Church Pension Group-RSVP plan on their behalf).</t>
  </si>
  <si>
    <t>Utilities paid directly by Church - if rectory is provided ONLY</t>
  </si>
  <si>
    <t>Verify calculation of Tax Reimbursement</t>
  </si>
  <si>
    <t>Electricity</t>
  </si>
  <si>
    <t>Compute Voluntary Withholding</t>
  </si>
  <si>
    <t>Self Employment Income</t>
  </si>
  <si>
    <t>Gas</t>
  </si>
  <si>
    <t>Self Employment Tax</t>
  </si>
  <si>
    <t xml:space="preserve">less statutory deduction of </t>
  </si>
  <si>
    <t>Water</t>
  </si>
  <si>
    <t>Estimated Income Tax</t>
  </si>
  <si>
    <t xml:space="preserve"> 50% of SE tax rate</t>
  </si>
  <si>
    <t>IGNORE THIS FOR NOW</t>
  </si>
  <si>
    <t>Telephone</t>
  </si>
  <si>
    <t>Total withholding</t>
  </si>
  <si>
    <t>taxable for self employment tax</t>
  </si>
  <si>
    <t>amount of taxable comp above 200k</t>
  </si>
  <si>
    <t>Other (specify)</t>
  </si>
  <si>
    <t>Compute Monthly Paycheck</t>
  </si>
  <si>
    <t>MANUALLY PUT IN CELL C15 IF GREATER THAN ZERO</t>
  </si>
  <si>
    <t>TOTAL</t>
  </si>
  <si>
    <t>Salary</t>
  </si>
  <si>
    <t>self employment tax</t>
  </si>
  <si>
    <t>below limit</t>
  </si>
  <si>
    <t>Tax Rates, etc.</t>
  </si>
  <si>
    <t>above limit</t>
  </si>
  <si>
    <t>SE tax base</t>
  </si>
  <si>
    <t>(Changed for 2024 rate change by IRS)</t>
  </si>
  <si>
    <t>SS Reimbursement **</t>
  </si>
  <si>
    <t>MC no RECTORY</t>
  </si>
  <si>
    <t>SE tax rate</t>
  </si>
  <si>
    <t>Annuity w/h</t>
  </si>
  <si>
    <t>Effective %</t>
  </si>
  <si>
    <t>total</t>
  </si>
  <si>
    <t>MC tax rate</t>
  </si>
  <si>
    <t>FIT w/h **</t>
  </si>
  <si>
    <t>MC tax base</t>
  </si>
  <si>
    <t>MC addt'l tax rate 2013</t>
  </si>
  <si>
    <t>Pension Rate</t>
  </si>
  <si>
    <t>Net Pay</t>
  </si>
  <si>
    <t>Housing Value</t>
  </si>
  <si>
    <t>(rectory estimated at 30%)</t>
  </si>
  <si>
    <t>FIT marginal rate</t>
  </si>
  <si>
    <t>* Other taxable compensation may include:</t>
  </si>
  <si>
    <t>to estimate equivalent lay compensation</t>
  </si>
  <si>
    <t>- Employer paid tuition for dependents (only if taxable)</t>
  </si>
  <si>
    <t>rate based on lay income</t>
  </si>
  <si>
    <t>- One time payments (e.g., bonus and overtime); one-time payments are included in TAC when reported</t>
  </si>
  <si>
    <t>FIT average rate</t>
  </si>
  <si>
    <t>to compute voluntary withholding</t>
  </si>
  <si>
    <t>** Dependent on how clergy member wants to handle taxes.</t>
  </si>
  <si>
    <t>rate based on clergy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</si>
</sst>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0.000000"/>
    <numFmt numFmtId="166" formatCode="0.0%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Roman"/>
      <family val="1"/>
    </font>
    <font>
      <b/>
      <sz val="18"/>
      <name val="Times Roman"/>
      <family val="1"/>
    </font>
    <font>
      <i/>
      <sz val="10"/>
      <name val="Arial"/>
      <family val="1"/>
    </font>
    <font>
      <sz val="10"/>
      <name val="Arial"/>
      <family val="1"/>
    </font>
    <font>
      <b/>
      <sz val="12"/>
      <name val="Times Roman"/>
    </font>
    <font>
      <b/>
      <i/>
      <sz val="12"/>
      <name val="Times Roman"/>
      <family val="1"/>
    </font>
    <font>
      <sz val="14"/>
      <name val="Times Roman"/>
      <family val="1"/>
    </font>
    <font>
      <b/>
      <i/>
      <sz val="14"/>
      <name val="Times Roman"/>
      <family val="1"/>
    </font>
    <font>
      <b/>
      <i/>
      <sz val="14"/>
      <color rgb="FFFF0000"/>
      <name val="Times Roman"/>
      <family val="1"/>
    </font>
    <font>
      <b/>
      <sz val="12"/>
      <color rgb="FFFF0000"/>
      <name val="Times Roman"/>
      <family val="1"/>
    </font>
    <font>
      <b/>
      <sz val="14"/>
      <name val="Times Roman"/>
      <family val="1"/>
    </font>
    <font>
      <b/>
      <sz val="12"/>
      <color indexed="10"/>
      <name val="Times Roman"/>
      <family val="1"/>
    </font>
    <font>
      <b/>
      <i/>
      <u/>
      <sz val="12"/>
      <name val="Times Roman"/>
      <family val="1"/>
    </font>
    <font>
      <b/>
      <i/>
      <sz val="12"/>
      <name val="Times Roman"/>
    </font>
    <font>
      <b/>
      <sz val="12"/>
      <name val="Times Roman"/>
      <family val="1"/>
    </font>
    <font>
      <i/>
      <sz val="12"/>
      <name val="Times Roman"/>
      <family val="1"/>
    </font>
    <font>
      <sz val="12"/>
      <color theme="0"/>
      <name val="Times Roman"/>
      <family val="1"/>
    </font>
    <font>
      <b/>
      <u/>
      <sz val="12"/>
      <name val="Times Roman"/>
      <family val="1"/>
    </font>
    <font>
      <b/>
      <sz val="12"/>
      <color theme="0"/>
      <name val="Times Roman"/>
      <family val="1"/>
    </font>
    <font>
      <b/>
      <sz val="10"/>
      <name val="Times Roman"/>
      <family val="1"/>
    </font>
    <font>
      <b/>
      <i/>
      <sz val="10"/>
      <name val="Times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2" fillId="0" borderId="1" xfId="3" applyFont="1" applyBorder="1" applyProtection="1">
      <protection locked="0"/>
    </xf>
    <xf numFmtId="0" fontId="2" fillId="0" borderId="2" xfId="3" applyFont="1" applyBorder="1" applyProtection="1">
      <protection locked="0"/>
    </xf>
    <xf numFmtId="0" fontId="2" fillId="0" borderId="3" xfId="3" applyFont="1" applyBorder="1" applyProtection="1">
      <protection locked="0"/>
    </xf>
    <xf numFmtId="0" fontId="2" fillId="0" borderId="0" xfId="3" applyFont="1" applyProtection="1">
      <protection locked="0"/>
    </xf>
    <xf numFmtId="0" fontId="3" fillId="2" borderId="4" xfId="3" applyFont="1" applyFill="1" applyBorder="1"/>
    <xf numFmtId="0" fontId="3" fillId="2" borderId="5" xfId="3" applyFont="1" applyFill="1" applyBorder="1"/>
    <xf numFmtId="0" fontId="3" fillId="2" borderId="6" xfId="3" applyFont="1" applyFill="1" applyBorder="1"/>
    <xf numFmtId="0" fontId="2" fillId="2" borderId="5" xfId="3" applyFont="1" applyFill="1" applyBorder="1"/>
    <xf numFmtId="0" fontId="6" fillId="2" borderId="5" xfId="3" applyFont="1" applyFill="1" applyBorder="1"/>
    <xf numFmtId="0" fontId="2" fillId="2" borderId="6" xfId="3" applyFont="1" applyFill="1" applyBorder="1"/>
    <xf numFmtId="0" fontId="2" fillId="0" borderId="7" xfId="3" applyFont="1" applyBorder="1"/>
    <xf numFmtId="0" fontId="2" fillId="0" borderId="0" xfId="3" applyFont="1"/>
    <xf numFmtId="0" fontId="2" fillId="0" borderId="8" xfId="3" applyFont="1" applyBorder="1" applyProtection="1">
      <protection locked="0"/>
    </xf>
    <xf numFmtId="0" fontId="2" fillId="0" borderId="7" xfId="3" applyFont="1" applyBorder="1" applyProtection="1">
      <protection locked="0"/>
    </xf>
    <xf numFmtId="0" fontId="7" fillId="2" borderId="1" xfId="3" applyFont="1" applyFill="1" applyBorder="1" applyProtection="1">
      <protection locked="0"/>
    </xf>
    <xf numFmtId="0" fontId="7" fillId="2" borderId="8" xfId="3" applyFont="1" applyFill="1" applyBorder="1" applyProtection="1">
      <protection locked="0"/>
    </xf>
    <xf numFmtId="0" fontId="8" fillId="0" borderId="0" xfId="3" applyFont="1" applyProtection="1">
      <protection locked="0"/>
    </xf>
    <xf numFmtId="0" fontId="9" fillId="0" borderId="7" xfId="3" applyFont="1" applyBorder="1" applyAlignment="1">
      <alignment horizontal="right"/>
    </xf>
    <xf numFmtId="0" fontId="9" fillId="0" borderId="0" xfId="3" applyFont="1"/>
    <xf numFmtId="0" fontId="9" fillId="0" borderId="0" xfId="3" applyFont="1" applyProtection="1">
      <protection locked="0"/>
    </xf>
    <xf numFmtId="0" fontId="7" fillId="0" borderId="0" xfId="3" applyFont="1" applyProtection="1">
      <protection locked="0"/>
    </xf>
    <xf numFmtId="0" fontId="9" fillId="0" borderId="0" xfId="3" applyFont="1" applyAlignment="1" applyProtection="1">
      <alignment horizontal="right"/>
      <protection locked="0"/>
    </xf>
    <xf numFmtId="3" fontId="10" fillId="0" borderId="7" xfId="3" applyNumberFormat="1" applyFont="1" applyBorder="1"/>
    <xf numFmtId="0" fontId="11" fillId="0" borderId="0" xfId="3" applyFont="1" applyProtection="1">
      <protection locked="0"/>
    </xf>
    <xf numFmtId="0" fontId="8" fillId="0" borderId="8" xfId="3" applyFont="1" applyBorder="1" applyProtection="1">
      <protection locked="0"/>
    </xf>
    <xf numFmtId="0" fontId="12" fillId="0" borderId="0" xfId="3" applyFont="1" applyProtection="1">
      <protection locked="0"/>
    </xf>
    <xf numFmtId="0" fontId="2" fillId="0" borderId="11" xfId="3" applyFont="1" applyBorder="1" applyProtection="1">
      <protection locked="0"/>
    </xf>
    <xf numFmtId="0" fontId="2" fillId="0" borderId="12" xfId="3" applyFont="1" applyBorder="1" applyProtection="1">
      <protection locked="0"/>
    </xf>
    <xf numFmtId="0" fontId="2" fillId="0" borderId="13" xfId="3" applyFont="1" applyBorder="1" applyProtection="1">
      <protection locked="0"/>
    </xf>
    <xf numFmtId="0" fontId="13" fillId="3" borderId="14" xfId="3" applyFont="1" applyFill="1" applyBorder="1" applyAlignment="1" applyProtection="1">
      <alignment horizontal="center"/>
      <protection locked="0"/>
    </xf>
    <xf numFmtId="0" fontId="7" fillId="0" borderId="0" xfId="3" applyFont="1"/>
    <xf numFmtId="0" fontId="2" fillId="0" borderId="5" xfId="3" applyFont="1" applyBorder="1"/>
    <xf numFmtId="0" fontId="7" fillId="0" borderId="8" xfId="3" applyFont="1" applyBorder="1"/>
    <xf numFmtId="0" fontId="14" fillId="0" borderId="0" xfId="3" applyFont="1"/>
    <xf numFmtId="0" fontId="14" fillId="0" borderId="7" xfId="3" applyFont="1" applyBorder="1" applyAlignment="1" applyProtection="1">
      <alignment horizontal="center"/>
      <protection locked="0"/>
    </xf>
    <xf numFmtId="0" fontId="2" fillId="0" borderId="15" xfId="3" applyFont="1" applyBorder="1" applyAlignment="1">
      <alignment horizontal="center" wrapText="1"/>
    </xf>
    <xf numFmtId="0" fontId="2" fillId="0" borderId="15" xfId="3" applyFont="1" applyBorder="1" applyAlignment="1" applyProtection="1">
      <alignment horizontal="center" wrapText="1"/>
      <protection locked="0"/>
    </xf>
    <xf numFmtId="0" fontId="2" fillId="0" borderId="15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16" xfId="3" applyFont="1" applyBorder="1" applyAlignment="1">
      <alignment horizontal="center" wrapText="1"/>
    </xf>
    <xf numFmtId="0" fontId="2" fillId="0" borderId="8" xfId="3" applyFont="1" applyBorder="1"/>
    <xf numFmtId="3" fontId="2" fillId="0" borderId="0" xfId="3" applyNumberFormat="1" applyFont="1" applyProtection="1">
      <protection locked="0"/>
    </xf>
    <xf numFmtId="3" fontId="7" fillId="3" borderId="7" xfId="3" applyNumberFormat="1" applyFont="1" applyFill="1" applyBorder="1" applyProtection="1">
      <protection locked="0"/>
    </xf>
    <xf numFmtId="3" fontId="2" fillId="0" borderId="0" xfId="3" applyNumberFormat="1" applyFont="1"/>
    <xf numFmtId="3" fontId="2" fillId="0" borderId="7" xfId="3" applyNumberFormat="1" applyFont="1" applyBorder="1"/>
    <xf numFmtId="0" fontId="6" fillId="0" borderId="0" xfId="3" applyFont="1" applyProtection="1">
      <protection locked="0"/>
    </xf>
    <xf numFmtId="2" fontId="2" fillId="0" borderId="0" xfId="3" applyNumberFormat="1" applyFont="1" applyProtection="1">
      <protection locked="0"/>
    </xf>
    <xf numFmtId="0" fontId="15" fillId="0" borderId="0" xfId="3" quotePrefix="1" applyFont="1" applyProtection="1">
      <protection locked="0"/>
    </xf>
    <xf numFmtId="3" fontId="15" fillId="3" borderId="7" xfId="3" applyNumberFormat="1" applyFont="1" applyFill="1" applyBorder="1"/>
    <xf numFmtId="3" fontId="6" fillId="0" borderId="0" xfId="3" applyNumberFormat="1" applyFont="1" applyProtection="1">
      <protection locked="0"/>
    </xf>
    <xf numFmtId="3" fontId="6" fillId="0" borderId="7" xfId="3" applyNumberFormat="1" applyFont="1" applyBorder="1"/>
    <xf numFmtId="2" fontId="6" fillId="0" borderId="0" xfId="3" applyNumberFormat="1" applyFont="1" applyProtection="1">
      <protection locked="0"/>
    </xf>
    <xf numFmtId="0" fontId="16" fillId="0" borderId="17" xfId="3" applyFont="1" applyBorder="1"/>
    <xf numFmtId="3" fontId="16" fillId="0" borderId="18" xfId="3" applyNumberFormat="1" applyFont="1" applyBorder="1"/>
    <xf numFmtId="3" fontId="7" fillId="2" borderId="7" xfId="3" applyNumberFormat="1" applyFont="1" applyFill="1" applyBorder="1" applyProtection="1">
      <protection locked="0"/>
    </xf>
    <xf numFmtId="0" fontId="17" fillId="0" borderId="0" xfId="3" applyFont="1" applyProtection="1">
      <protection locked="0"/>
    </xf>
    <xf numFmtId="3" fontId="2" fillId="0" borderId="10" xfId="3" applyNumberFormat="1" applyFont="1" applyBorder="1"/>
    <xf numFmtId="3" fontId="2" fillId="0" borderId="19" xfId="3" applyNumberFormat="1" applyFont="1" applyBorder="1"/>
    <xf numFmtId="0" fontId="17" fillId="0" borderId="12" xfId="3" applyFont="1" applyBorder="1" applyProtection="1">
      <protection locked="0"/>
    </xf>
    <xf numFmtId="3" fontId="2" fillId="0" borderId="17" xfId="3" applyNumberFormat="1" applyFont="1" applyBorder="1"/>
    <xf numFmtId="10" fontId="16" fillId="0" borderId="0" xfId="3" applyNumberFormat="1" applyFont="1"/>
    <xf numFmtId="0" fontId="8" fillId="0" borderId="8" xfId="3" applyFont="1" applyBorder="1"/>
    <xf numFmtId="0" fontId="12" fillId="0" borderId="0" xfId="3" applyFont="1"/>
    <xf numFmtId="10" fontId="2" fillId="0" borderId="0" xfId="3" applyNumberFormat="1" applyFont="1"/>
    <xf numFmtId="0" fontId="7" fillId="0" borderId="4" xfId="3" applyFont="1" applyBorder="1"/>
    <xf numFmtId="0" fontId="2" fillId="0" borderId="6" xfId="3" applyFont="1" applyBorder="1"/>
    <xf numFmtId="0" fontId="16" fillId="0" borderId="0" xfId="3" applyFont="1"/>
    <xf numFmtId="0" fontId="16" fillId="0" borderId="4" xfId="3" applyFont="1" applyBorder="1"/>
    <xf numFmtId="0" fontId="16" fillId="0" borderId="5" xfId="3" applyFont="1" applyBorder="1"/>
    <xf numFmtId="0" fontId="16" fillId="0" borderId="6" xfId="3" applyFont="1" applyBorder="1"/>
    <xf numFmtId="0" fontId="18" fillId="0" borderId="0" xfId="3" applyFont="1"/>
    <xf numFmtId="0" fontId="18" fillId="0" borderId="0" xfId="3" applyFont="1" applyProtection="1">
      <protection locked="0"/>
    </xf>
    <xf numFmtId="0" fontId="19" fillId="0" borderId="0" xfId="3" applyFont="1"/>
    <xf numFmtId="0" fontId="2" fillId="0" borderId="0" xfId="3" applyFont="1" applyAlignment="1">
      <alignment horizontal="right"/>
    </xf>
    <xf numFmtId="0" fontId="18" fillId="0" borderId="2" xfId="3" applyFont="1" applyBorder="1"/>
    <xf numFmtId="0" fontId="18" fillId="0" borderId="2" xfId="3" applyFont="1" applyBorder="1" applyProtection="1">
      <protection locked="0"/>
    </xf>
    <xf numFmtId="0" fontId="18" fillId="0" borderId="3" xfId="3" applyFont="1" applyBorder="1" applyProtection="1">
      <protection locked="0"/>
    </xf>
    <xf numFmtId="3" fontId="2" fillId="0" borderId="16" xfId="3" applyNumberFormat="1" applyFont="1" applyBorder="1"/>
    <xf numFmtId="0" fontId="16" fillId="0" borderId="7" xfId="3" applyFont="1" applyBorder="1"/>
    <xf numFmtId="165" fontId="18" fillId="0" borderId="0" xfId="3" applyNumberFormat="1" applyFont="1"/>
    <xf numFmtId="0" fontId="20" fillId="0" borderId="0" xfId="3" applyFont="1" applyProtection="1">
      <protection locked="0"/>
    </xf>
    <xf numFmtId="0" fontId="18" fillId="0" borderId="7" xfId="3" applyFont="1" applyBorder="1" applyProtection="1">
      <protection locked="0"/>
    </xf>
    <xf numFmtId="3" fontId="2" fillId="0" borderId="7" xfId="3" applyNumberFormat="1" applyFont="1" applyBorder="1" applyProtection="1">
      <protection locked="0"/>
    </xf>
    <xf numFmtId="3" fontId="18" fillId="0" borderId="0" xfId="3" applyNumberFormat="1" applyFont="1"/>
    <xf numFmtId="0" fontId="2" fillId="3" borderId="0" xfId="3" applyFont="1" applyFill="1"/>
    <xf numFmtId="0" fontId="20" fillId="0" borderId="0" xfId="3" applyFont="1"/>
    <xf numFmtId="0" fontId="2" fillId="0" borderId="11" xfId="3" applyFont="1" applyBorder="1"/>
    <xf numFmtId="0" fontId="2" fillId="0" borderId="12" xfId="3" applyFont="1" applyBorder="1"/>
    <xf numFmtId="3" fontId="16" fillId="0" borderId="19" xfId="3" applyNumberFormat="1" applyFont="1" applyBorder="1"/>
    <xf numFmtId="4" fontId="2" fillId="0" borderId="7" xfId="3" applyNumberFormat="1" applyFont="1" applyBorder="1"/>
    <xf numFmtId="0" fontId="2" fillId="0" borderId="4" xfId="3" applyFont="1" applyBorder="1"/>
    <xf numFmtId="0" fontId="2" fillId="0" borderId="13" xfId="3" applyFont="1" applyBorder="1"/>
    <xf numFmtId="0" fontId="16" fillId="0" borderId="1" xfId="3" applyFont="1" applyBorder="1"/>
    <xf numFmtId="0" fontId="21" fillId="0" borderId="0" xfId="3" applyFont="1"/>
    <xf numFmtId="3" fontId="16" fillId="0" borderId="3" xfId="3" applyNumberFormat="1" applyFont="1" applyBorder="1"/>
    <xf numFmtId="0" fontId="18" fillId="0" borderId="8" xfId="3" applyFont="1" applyBorder="1"/>
    <xf numFmtId="0" fontId="18" fillId="0" borderId="0" xfId="3" applyFont="1" applyAlignment="1">
      <alignment horizontal="right"/>
    </xf>
    <xf numFmtId="3" fontId="18" fillId="0" borderId="7" xfId="3" applyNumberFormat="1" applyFont="1" applyBorder="1"/>
    <xf numFmtId="0" fontId="16" fillId="0" borderId="8" xfId="3" applyFont="1" applyBorder="1"/>
    <xf numFmtId="10" fontId="16" fillId="0" borderId="7" xfId="3" applyNumberFormat="1" applyFont="1" applyBorder="1"/>
    <xf numFmtId="0" fontId="7" fillId="0" borderId="11" xfId="3" applyFont="1" applyBorder="1"/>
    <xf numFmtId="10" fontId="7" fillId="0" borderId="12" xfId="2" applyNumberFormat="1" applyFont="1" applyBorder="1" applyProtection="1"/>
    <xf numFmtId="3" fontId="2" fillId="0" borderId="13" xfId="3" applyNumberFormat="1" applyFont="1" applyBorder="1"/>
    <xf numFmtId="0" fontId="22" fillId="0" borderId="0" xfId="3" applyFont="1"/>
    <xf numFmtId="3" fontId="7" fillId="0" borderId="7" xfId="1" applyNumberFormat="1" applyFont="1" applyFill="1" applyBorder="1" applyProtection="1"/>
    <xf numFmtId="166" fontId="7" fillId="0" borderId="7" xfId="3" applyNumberFormat="1" applyFont="1" applyBorder="1"/>
    <xf numFmtId="4" fontId="2" fillId="0" borderId="16" xfId="3" applyNumberFormat="1" applyFont="1" applyBorder="1"/>
    <xf numFmtId="0" fontId="18" fillId="0" borderId="12" xfId="3" applyFont="1" applyBorder="1"/>
    <xf numFmtId="0" fontId="18" fillId="0" borderId="12" xfId="3" applyFont="1" applyBorder="1" applyProtection="1">
      <protection locked="0"/>
    </xf>
    <xf numFmtId="0" fontId="18" fillId="0" borderId="13" xfId="3" applyFont="1" applyBorder="1" applyProtection="1">
      <protection locked="0"/>
    </xf>
    <xf numFmtId="9" fontId="16" fillId="0" borderId="7" xfId="3" applyNumberFormat="1" applyFont="1" applyBorder="1"/>
    <xf numFmtId="4" fontId="2" fillId="0" borderId="13" xfId="3" applyNumberFormat="1" applyFont="1" applyBorder="1"/>
    <xf numFmtId="0" fontId="16" fillId="0" borderId="11" xfId="3" applyFont="1" applyBorder="1"/>
    <xf numFmtId="0" fontId="21" fillId="0" borderId="12" xfId="3" applyFont="1" applyBorder="1"/>
    <xf numFmtId="9" fontId="16" fillId="0" borderId="13" xfId="3" applyNumberFormat="1" applyFont="1" applyBorder="1"/>
    <xf numFmtId="0" fontId="2" fillId="0" borderId="1" xfId="3" applyFont="1" applyBorder="1"/>
    <xf numFmtId="0" fontId="2" fillId="0" borderId="2" xfId="3" applyFont="1" applyBorder="1"/>
    <xf numFmtId="9" fontId="16" fillId="0" borderId="3" xfId="3" applyNumberFormat="1" applyFont="1" applyBorder="1"/>
    <xf numFmtId="0" fontId="2" fillId="0" borderId="0" xfId="3" quotePrefix="1" applyFont="1" applyProtection="1">
      <protection locked="0"/>
    </xf>
    <xf numFmtId="0" fontId="16" fillId="0" borderId="12" xfId="3" applyFont="1" applyBorder="1"/>
    <xf numFmtId="3" fontId="2" fillId="0" borderId="12" xfId="3" applyNumberFormat="1" applyFont="1" applyBorder="1"/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164" fontId="7" fillId="3" borderId="9" xfId="3" applyNumberFormat="1" applyFont="1" applyFill="1" applyBorder="1" applyAlignment="1" applyProtection="1">
      <alignment horizontal="right"/>
      <protection locked="0"/>
    </xf>
    <xf numFmtId="0" fontId="7" fillId="3" borderId="10" xfId="3" applyFont="1" applyFill="1" applyBorder="1" applyAlignment="1" applyProtection="1">
      <alignment horizontal="right"/>
      <protection locked="0"/>
    </xf>
    <xf numFmtId="0" fontId="2" fillId="0" borderId="4" xfId="3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273205EC-B6C2-4B49-AC35-3BBFC7709A0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A82D-D5A6-4E23-9F19-E1D77DEB82D2}">
  <sheetPr>
    <pageSetUpPr fitToPage="1"/>
  </sheetPr>
  <dimension ref="A1:AJ53"/>
  <sheetViews>
    <sheetView tabSelected="1" zoomScale="121" zoomScaleNormal="121" workbookViewId="0">
      <selection activeCell="B18" sqref="B18"/>
    </sheetView>
  </sheetViews>
  <sheetFormatPr baseColWidth="10" defaultColWidth="9.1640625" defaultRowHeight="16"/>
  <cols>
    <col min="1" max="1" width="18.1640625" style="4" customWidth="1"/>
    <col min="2" max="2" width="64" style="4" customWidth="1"/>
    <col min="3" max="3" width="26.5" style="4" customWidth="1"/>
    <col min="4" max="4" width="11.6640625" style="4" customWidth="1"/>
    <col min="5" max="5" width="12" style="4" customWidth="1"/>
    <col min="6" max="6" width="12.1640625" style="4" customWidth="1"/>
    <col min="7" max="7" width="1.6640625" style="4" customWidth="1"/>
    <col min="8" max="8" width="12.83203125" style="4" customWidth="1"/>
    <col min="9" max="10" width="11.6640625" style="4" customWidth="1"/>
    <col min="11" max="11" width="2" style="4" customWidth="1"/>
    <col min="12" max="12" width="10.83203125" style="4" bestFit="1" customWidth="1"/>
    <col min="13" max="13" width="11.5" style="4" customWidth="1"/>
    <col min="14" max="14" width="12" style="4" bestFit="1" customWidth="1"/>
    <col min="15" max="15" width="2.83203125" style="4" customWidth="1"/>
    <col min="16" max="16" width="13.6640625" style="4" customWidth="1"/>
    <col min="17" max="17" width="13.1640625" style="4" bestFit="1" customWidth="1"/>
    <col min="18" max="18" width="26.83203125" style="4" hidden="1" customWidth="1"/>
    <col min="19" max="19" width="11.83203125" style="4" hidden="1" customWidth="1"/>
    <col min="20" max="27" width="0" style="4" hidden="1" customWidth="1"/>
    <col min="28" max="29" width="9.1640625" style="4"/>
    <col min="30" max="30" width="17" style="4" customWidth="1"/>
    <col min="31" max="16384" width="9.1640625" style="4"/>
  </cols>
  <sheetData>
    <row r="1" spans="1:35" ht="17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</row>
    <row r="2" spans="1:35" ht="38.25" customHeight="1" thickBot="1">
      <c r="A2" s="5" t="s">
        <v>0</v>
      </c>
      <c r="B2" s="6"/>
      <c r="C2" s="7"/>
      <c r="D2" s="6"/>
      <c r="E2" s="7"/>
      <c r="F2" s="6"/>
      <c r="G2" s="6"/>
      <c r="H2" s="6"/>
      <c r="I2" s="6"/>
      <c r="J2" s="6"/>
      <c r="K2" s="6"/>
      <c r="L2" s="7"/>
      <c r="M2" s="8"/>
      <c r="N2" s="8"/>
      <c r="O2" s="8"/>
      <c r="P2" s="9">
        <v>2023</v>
      </c>
      <c r="Q2" s="10"/>
      <c r="R2" s="11"/>
      <c r="S2" s="12"/>
    </row>
    <row r="3" spans="1:35" ht="17" thickBot="1">
      <c r="A3" s="13"/>
      <c r="Q3" s="14"/>
      <c r="R3" s="14"/>
    </row>
    <row r="4" spans="1:35">
      <c r="A4" s="15" t="s">
        <v>1</v>
      </c>
      <c r="B4" s="124">
        <v>45292</v>
      </c>
      <c r="C4" s="124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</row>
    <row r="5" spans="1:35" ht="20" thickBot="1">
      <c r="A5" s="16" t="s">
        <v>2</v>
      </c>
      <c r="B5" s="125"/>
      <c r="C5" s="125"/>
      <c r="D5" s="13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4"/>
    </row>
    <row r="6" spans="1:35" ht="18.75" customHeight="1">
      <c r="A6" s="16" t="s">
        <v>3</v>
      </c>
      <c r="B6" s="124"/>
      <c r="C6" s="124"/>
      <c r="D6" s="13"/>
      <c r="E6" s="19"/>
      <c r="F6" s="20"/>
      <c r="G6" s="19"/>
      <c r="H6" s="19"/>
      <c r="I6" s="19"/>
      <c r="J6" s="19"/>
      <c r="K6" s="19"/>
      <c r="M6" s="21"/>
      <c r="N6" s="20"/>
      <c r="O6" s="20"/>
      <c r="P6" s="22"/>
      <c r="Q6" s="23"/>
      <c r="R6" s="14"/>
      <c r="AB6" s="24"/>
    </row>
    <row r="7" spans="1:35" ht="7.5" customHeight="1">
      <c r="A7" s="25"/>
      <c r="B7" s="26"/>
      <c r="C7" s="26"/>
      <c r="D7" s="13"/>
      <c r="Q7" s="14"/>
      <c r="R7" s="14"/>
    </row>
    <row r="8" spans="1:35" ht="17" thickBot="1">
      <c r="A8" s="13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  <c r="R8" s="14"/>
    </row>
    <row r="9" spans="1:35" ht="35.25" customHeight="1" thickBot="1">
      <c r="A9" s="30"/>
      <c r="B9" s="31" t="s">
        <v>4</v>
      </c>
      <c r="C9" s="14"/>
      <c r="D9" s="126" t="s">
        <v>5</v>
      </c>
      <c r="E9" s="122"/>
      <c r="F9" s="122"/>
      <c r="G9" s="32"/>
      <c r="H9" s="32"/>
      <c r="I9" s="32"/>
      <c r="J9" s="32"/>
      <c r="K9" s="32"/>
      <c r="L9" s="122" t="s">
        <v>6</v>
      </c>
      <c r="M9" s="122"/>
      <c r="N9" s="122"/>
      <c r="O9" s="32"/>
      <c r="P9" s="122" t="s">
        <v>7</v>
      </c>
      <c r="Q9" s="123"/>
      <c r="R9" s="3"/>
    </row>
    <row r="10" spans="1:35" ht="85">
      <c r="A10" s="33"/>
      <c r="B10" s="34"/>
      <c r="C10" s="35" t="s">
        <v>8</v>
      </c>
      <c r="D10" s="36" t="s">
        <v>9</v>
      </c>
      <c r="E10" s="37" t="s">
        <v>10</v>
      </c>
      <c r="F10" s="38" t="s">
        <v>11</v>
      </c>
      <c r="G10" s="39"/>
      <c r="H10" s="36" t="s">
        <v>12</v>
      </c>
      <c r="I10" s="36" t="s">
        <v>13</v>
      </c>
      <c r="J10" s="36" t="s">
        <v>14</v>
      </c>
      <c r="K10" s="39"/>
      <c r="L10" s="38" t="s">
        <v>15</v>
      </c>
      <c r="M10" s="38" t="s">
        <v>16</v>
      </c>
      <c r="N10" s="38" t="s">
        <v>17</v>
      </c>
      <c r="O10" s="39"/>
      <c r="P10" s="36" t="s">
        <v>18</v>
      </c>
      <c r="Q10" s="40" t="s">
        <v>19</v>
      </c>
      <c r="R10" s="14"/>
    </row>
    <row r="11" spans="1:35">
      <c r="A11" s="41"/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/>
      <c r="R11" s="14"/>
      <c r="AD11" s="42"/>
    </row>
    <row r="12" spans="1:35">
      <c r="A12" s="41" t="s">
        <v>20</v>
      </c>
      <c r="B12" s="21" t="s">
        <v>15</v>
      </c>
      <c r="C12" s="43">
        <v>5000</v>
      </c>
      <c r="D12" s="44">
        <f>C12</f>
        <v>5000</v>
      </c>
      <c r="E12" s="44"/>
      <c r="F12" s="44"/>
      <c r="G12" s="44"/>
      <c r="H12" s="44">
        <f t="shared" ref="H12:I14" si="0">IF(Rectory?&lt;&gt;"",$C12,0)</f>
        <v>0</v>
      </c>
      <c r="I12" s="44">
        <f t="shared" si="0"/>
        <v>0</v>
      </c>
      <c r="J12" s="44">
        <f t="shared" ref="J12:J18" si="1">$C12</f>
        <v>5000</v>
      </c>
      <c r="K12" s="12"/>
      <c r="L12" s="44">
        <f>$C12</f>
        <v>5000</v>
      </c>
      <c r="M12" s="44"/>
      <c r="N12" s="44"/>
      <c r="O12" s="44"/>
      <c r="P12" s="44">
        <f>$C12</f>
        <v>5000</v>
      </c>
      <c r="Q12" s="45">
        <f>$C12</f>
        <v>5000</v>
      </c>
      <c r="R12" s="14"/>
      <c r="AD12" s="46"/>
      <c r="AE12" s="46"/>
      <c r="AF12" s="46"/>
      <c r="AG12" s="46"/>
      <c r="AH12" s="46"/>
      <c r="AI12" s="46"/>
    </row>
    <row r="13" spans="1:35">
      <c r="A13" s="41" t="s">
        <v>21</v>
      </c>
      <c r="B13" s="31" t="s">
        <v>22</v>
      </c>
      <c r="C13" s="43">
        <v>35000</v>
      </c>
      <c r="D13" s="44">
        <f>C13</f>
        <v>35000</v>
      </c>
      <c r="E13" s="44"/>
      <c r="F13" s="44"/>
      <c r="G13" s="44"/>
      <c r="H13" s="44">
        <f t="shared" si="0"/>
        <v>0</v>
      </c>
      <c r="I13" s="44">
        <f t="shared" si="0"/>
        <v>0</v>
      </c>
      <c r="J13" s="44">
        <f t="shared" si="1"/>
        <v>35000</v>
      </c>
      <c r="K13" s="12"/>
      <c r="L13" s="44">
        <f>H</f>
        <v>35000</v>
      </c>
      <c r="M13" s="12"/>
      <c r="N13" s="44">
        <f>IF(Rectory?="",$C13,0)</f>
        <v>35000</v>
      </c>
      <c r="O13" s="44"/>
      <c r="P13" s="44"/>
      <c r="Q13" s="45">
        <f>$C13</f>
        <v>35000</v>
      </c>
      <c r="R13" s="14"/>
      <c r="AD13" s="46"/>
      <c r="AE13" s="46"/>
      <c r="AF13" s="46"/>
      <c r="AG13" s="46"/>
      <c r="AH13" s="46"/>
      <c r="AI13" s="46"/>
    </row>
    <row r="14" spans="1:35">
      <c r="A14" s="41" t="s">
        <v>23</v>
      </c>
      <c r="B14" s="12" t="s">
        <v>24</v>
      </c>
      <c r="C14" s="45">
        <f>C31</f>
        <v>1200</v>
      </c>
      <c r="D14" s="12"/>
      <c r="E14" s="44">
        <f>C14</f>
        <v>1200</v>
      </c>
      <c r="F14" s="44"/>
      <c r="G14" s="44"/>
      <c r="H14" s="44">
        <f t="shared" si="0"/>
        <v>0</v>
      </c>
      <c r="I14" s="44">
        <f t="shared" si="0"/>
        <v>0</v>
      </c>
      <c r="J14" s="44">
        <f t="shared" si="1"/>
        <v>1200</v>
      </c>
      <c r="K14" s="12"/>
      <c r="L14" s="44"/>
      <c r="M14" s="44"/>
      <c r="N14" s="44">
        <f>IF(Rectory?="",$C14,0)</f>
        <v>1200</v>
      </c>
      <c r="O14" s="44"/>
      <c r="P14" s="44"/>
      <c r="Q14" s="45">
        <f>$C14</f>
        <v>1200</v>
      </c>
      <c r="R14" s="14"/>
      <c r="AC14" s="42"/>
      <c r="AD14" s="42"/>
      <c r="AF14" s="46"/>
      <c r="AG14" s="46"/>
      <c r="AH14" s="46"/>
      <c r="AI14" s="46"/>
    </row>
    <row r="15" spans="1:35">
      <c r="A15" s="41" t="s">
        <v>25</v>
      </c>
      <c r="B15" s="12" t="s">
        <v>26</v>
      </c>
      <c r="C15" s="45">
        <f>I26</f>
        <v>0</v>
      </c>
      <c r="D15" s="44"/>
      <c r="E15" s="44"/>
      <c r="F15" s="44">
        <f>C15</f>
        <v>0</v>
      </c>
      <c r="G15" s="44"/>
      <c r="H15" s="44"/>
      <c r="I15" s="44"/>
      <c r="J15" s="44">
        <f t="shared" si="1"/>
        <v>0</v>
      </c>
      <c r="K15" s="12"/>
      <c r="L15" s="44"/>
      <c r="M15" s="44"/>
      <c r="N15" s="44">
        <f>IF(Rectory?="",$C15,0)</f>
        <v>0</v>
      </c>
      <c r="O15" s="44"/>
      <c r="P15" s="44"/>
      <c r="Q15" s="45">
        <f>MIN(I26,H26)</f>
        <v>0</v>
      </c>
      <c r="R15" s="14"/>
      <c r="AD15" s="47"/>
      <c r="AE15" s="46"/>
      <c r="AF15" s="46"/>
      <c r="AG15" s="46"/>
      <c r="AH15" s="46"/>
      <c r="AI15" s="46"/>
    </row>
    <row r="16" spans="1:35">
      <c r="A16" s="41" t="s">
        <v>27</v>
      </c>
      <c r="B16" s="48" t="s">
        <v>28</v>
      </c>
      <c r="C16" s="49"/>
      <c r="D16" s="44"/>
      <c r="E16" s="44">
        <f>C16</f>
        <v>0</v>
      </c>
      <c r="F16" s="44"/>
      <c r="G16" s="44"/>
      <c r="H16" s="44"/>
      <c r="I16" s="44">
        <f t="shared" ref="H16:I18" si="2">IF(Rectory?&lt;&gt;"",$C16,0)</f>
        <v>0</v>
      </c>
      <c r="J16" s="44">
        <f>$C16</f>
        <v>0</v>
      </c>
      <c r="K16" s="12"/>
      <c r="L16" s="44"/>
      <c r="M16" s="44"/>
      <c r="N16" s="44"/>
      <c r="O16" s="44"/>
      <c r="P16" s="44"/>
      <c r="Q16" s="45"/>
      <c r="R16" s="14"/>
      <c r="AD16" s="47"/>
      <c r="AE16" s="46"/>
      <c r="AF16" s="46"/>
      <c r="AG16" s="46"/>
      <c r="AH16" s="50"/>
      <c r="AI16" s="46"/>
    </row>
    <row r="17" spans="1:36">
      <c r="A17" s="41" t="s">
        <v>29</v>
      </c>
      <c r="B17" s="31" t="s">
        <v>30</v>
      </c>
      <c r="C17" s="43"/>
      <c r="D17" s="44"/>
      <c r="E17" s="44">
        <f>C17</f>
        <v>0</v>
      </c>
      <c r="F17" s="44"/>
      <c r="G17" s="44"/>
      <c r="H17" s="44">
        <f t="shared" si="2"/>
        <v>0</v>
      </c>
      <c r="I17" s="44">
        <f t="shared" si="2"/>
        <v>0</v>
      </c>
      <c r="J17" s="44">
        <f>$C17</f>
        <v>0</v>
      </c>
      <c r="K17" s="12"/>
      <c r="L17" s="44">
        <f>C17</f>
        <v>0</v>
      </c>
      <c r="M17" s="44"/>
      <c r="N17" s="44"/>
      <c r="O17" s="44"/>
      <c r="P17" s="44">
        <f t="shared" ref="P17:P20" si="3">C17</f>
        <v>0</v>
      </c>
      <c r="Q17" s="45">
        <f t="shared" ref="Q17:Q20" si="4">C17</f>
        <v>0</v>
      </c>
      <c r="R17" s="14"/>
      <c r="AD17" s="47"/>
      <c r="AE17" s="50"/>
      <c r="AF17" s="46"/>
      <c r="AG17" s="46"/>
      <c r="AH17" s="46"/>
      <c r="AI17" s="46"/>
    </row>
    <row r="18" spans="1:36">
      <c r="A18" s="41" t="s">
        <v>31</v>
      </c>
      <c r="B18" s="12" t="s">
        <v>32</v>
      </c>
      <c r="C18" s="51">
        <f>MIN(SE_tax_rate*SE_tax_base,(SE_tax_rate*(1-SE_tax_rate*0.5)*((1+Housing_Value*(Rectory?&lt;&gt;""))*(S+H+U+C17)))/(1-(1+Housing_Value*($A$9&lt;&gt;""))*SE_tax_rate*(1-SE_tax_rate*0.5)))</f>
        <v>6779.2524669429349</v>
      </c>
      <c r="D18" s="44">
        <f>C18</f>
        <v>6779.2524669429349</v>
      </c>
      <c r="E18" s="44"/>
      <c r="F18" s="44"/>
      <c r="G18" s="44"/>
      <c r="H18" s="44">
        <f t="shared" si="2"/>
        <v>0</v>
      </c>
      <c r="I18" s="44">
        <f t="shared" si="2"/>
        <v>0</v>
      </c>
      <c r="J18" s="44">
        <f t="shared" si="1"/>
        <v>6779.2524669429349</v>
      </c>
      <c r="K18" s="12"/>
      <c r="L18" s="12"/>
      <c r="M18" s="44">
        <f>$C18</f>
        <v>6779.2524669429349</v>
      </c>
      <c r="N18" s="44"/>
      <c r="O18" s="44"/>
      <c r="P18" s="44">
        <f t="shared" si="3"/>
        <v>6779.2524669429349</v>
      </c>
      <c r="Q18" s="45">
        <f t="shared" si="4"/>
        <v>6779.2524669429349</v>
      </c>
      <c r="R18" s="14"/>
      <c r="AD18" s="52"/>
      <c r="AE18" s="52"/>
    </row>
    <row r="19" spans="1:36">
      <c r="A19" s="41" t="s">
        <v>33</v>
      </c>
      <c r="B19" s="12" t="s">
        <v>34</v>
      </c>
      <c r="C19" s="51">
        <f>MAX(0,MC_tax_rate*((1-SE_tax_rate*0.5)*((1+Housing_Value*(Rectory?&lt;&gt;""))*(S+H+U+SSR+C17))-SE_tax_base)/(1-MC_tax_rate*(1-SE_tax_rate*0.5)))</f>
        <v>0</v>
      </c>
      <c r="D19" s="44">
        <f>C19</f>
        <v>0</v>
      </c>
      <c r="E19" s="44"/>
      <c r="F19" s="44"/>
      <c r="G19" s="44"/>
      <c r="H19" s="44">
        <f>IF(Rectory?&lt;&gt;"",$C19,0)</f>
        <v>0</v>
      </c>
      <c r="I19" s="44">
        <f>IF(Rectory?&lt;&gt;"",$C19,0)</f>
        <v>0</v>
      </c>
      <c r="J19" s="44">
        <f>$C19</f>
        <v>0</v>
      </c>
      <c r="K19" s="12"/>
      <c r="L19" s="12"/>
      <c r="M19" s="44">
        <f>$C19</f>
        <v>0</v>
      </c>
      <c r="N19" s="44"/>
      <c r="O19" s="44"/>
      <c r="P19" s="44">
        <f t="shared" si="3"/>
        <v>0</v>
      </c>
      <c r="Q19" s="45">
        <f t="shared" si="4"/>
        <v>0</v>
      </c>
      <c r="R19" s="14"/>
      <c r="AD19" s="42"/>
    </row>
    <row r="20" spans="1:36">
      <c r="A20" s="41" t="s">
        <v>35</v>
      </c>
      <c r="B20" s="12" t="s">
        <v>36</v>
      </c>
      <c r="C20" s="51">
        <f>MAX(0,C42*((1+Housing_Value*(Rectory?&lt;&gt;""))*(S+H+U+SSR+C17+C19)-C41))</f>
        <v>0</v>
      </c>
      <c r="D20" s="44">
        <f>C20</f>
        <v>0</v>
      </c>
      <c r="E20" s="44"/>
      <c r="F20" s="44"/>
      <c r="G20" s="44"/>
      <c r="H20" s="44">
        <f>IF(Rectory?&lt;&gt;"",$C20,0)</f>
        <v>0</v>
      </c>
      <c r="I20" s="44">
        <f>IF(Rectory?&lt;&gt;"",$C20,0)</f>
        <v>0</v>
      </c>
      <c r="J20" s="44">
        <f>$C20</f>
        <v>0</v>
      </c>
      <c r="K20" s="12"/>
      <c r="L20" s="12"/>
      <c r="M20" s="44">
        <f>$C20</f>
        <v>0</v>
      </c>
      <c r="N20" s="44"/>
      <c r="O20" s="44"/>
      <c r="P20" s="44">
        <f t="shared" si="3"/>
        <v>0</v>
      </c>
      <c r="Q20" s="45">
        <f t="shared" si="4"/>
        <v>0</v>
      </c>
      <c r="R20" s="14"/>
    </row>
    <row r="21" spans="1:36">
      <c r="A21" s="41" t="s">
        <v>37</v>
      </c>
      <c r="B21" s="12" t="s">
        <v>38</v>
      </c>
      <c r="C21" s="45">
        <f>J26</f>
        <v>8636.2654440497281</v>
      </c>
      <c r="D21" s="12"/>
      <c r="E21" s="44">
        <f>C21</f>
        <v>8636.2654440497281</v>
      </c>
      <c r="F21" s="12"/>
      <c r="G21" s="12"/>
      <c r="H21" s="44"/>
      <c r="I21" s="44"/>
      <c r="J21" s="44"/>
      <c r="K21" s="44"/>
      <c r="L21" s="44"/>
      <c r="M21" s="12"/>
      <c r="N21" s="12"/>
      <c r="O21" s="12"/>
      <c r="P21" s="44"/>
      <c r="Q21" s="45"/>
      <c r="R21" s="14"/>
      <c r="AD21" s="42"/>
    </row>
    <row r="22" spans="1:36" ht="17" thickBot="1">
      <c r="A22" s="41"/>
      <c r="B22" s="53" t="s">
        <v>39</v>
      </c>
      <c r="C22" s="54">
        <f>SUM(C12:C21)</f>
        <v>56615.517910992661</v>
      </c>
      <c r="D22" s="12"/>
      <c r="E22" s="44"/>
      <c r="F22" s="12"/>
      <c r="G22" s="12"/>
      <c r="H22" s="44"/>
      <c r="I22" s="44"/>
      <c r="J22" s="44"/>
      <c r="K22" s="44"/>
      <c r="L22" s="44"/>
      <c r="M22" s="12"/>
      <c r="N22" s="12"/>
      <c r="O22" s="12"/>
      <c r="P22" s="44"/>
      <c r="Q22" s="45"/>
      <c r="R22" s="14"/>
      <c r="AE22" s="42"/>
    </row>
    <row r="23" spans="1:36" ht="17" thickTop="1">
      <c r="A23" s="13"/>
      <c r="C23" s="14"/>
      <c r="D23" s="12"/>
      <c r="F23" s="44"/>
      <c r="G23" s="44"/>
      <c r="H23" s="44"/>
      <c r="I23" s="44"/>
      <c r="J23" s="44"/>
      <c r="K23" s="12"/>
      <c r="L23" s="44"/>
      <c r="M23" s="44"/>
      <c r="N23" s="44"/>
      <c r="O23" s="44"/>
      <c r="P23" s="12"/>
      <c r="Q23" s="45"/>
      <c r="R23" s="14"/>
    </row>
    <row r="24" spans="1:36">
      <c r="A24" s="41" t="s">
        <v>40</v>
      </c>
      <c r="B24" s="12" t="s">
        <v>41</v>
      </c>
      <c r="C24" s="55"/>
      <c r="D24" s="44">
        <f>-C24</f>
        <v>0</v>
      </c>
      <c r="E24" s="44">
        <f>C24</f>
        <v>0</v>
      </c>
      <c r="F24" s="12"/>
      <c r="G24" s="12"/>
      <c r="H24" s="12"/>
      <c r="I24" s="12"/>
      <c r="J24" s="44"/>
      <c r="K24" s="12"/>
      <c r="L24" s="12"/>
      <c r="M24" s="12"/>
      <c r="N24" s="12"/>
      <c r="O24" s="12"/>
      <c r="P24" s="44">
        <f>$D$24</f>
        <v>0</v>
      </c>
      <c r="Q24" s="45"/>
      <c r="R24" s="14"/>
      <c r="AD24" s="42"/>
      <c r="AG24" s="42"/>
    </row>
    <row r="25" spans="1:36">
      <c r="A25" s="41"/>
      <c r="B25" s="56" t="s">
        <v>42</v>
      </c>
      <c r="C25" s="14"/>
      <c r="D25" s="57">
        <f>SUM(D12:D24)</f>
        <v>46779.252466942933</v>
      </c>
      <c r="E25" s="57">
        <f>SUM(E12:E24)</f>
        <v>9836.2654440497281</v>
      </c>
      <c r="F25" s="57">
        <f>SUM(F12:F24)</f>
        <v>0</v>
      </c>
      <c r="G25" s="44"/>
      <c r="H25" s="57">
        <f>SUM(H12:H24)</f>
        <v>0</v>
      </c>
      <c r="I25" s="57">
        <f>SUM(I12:I24)</f>
        <v>0</v>
      </c>
      <c r="J25" s="57">
        <f>SUM(J12:J24)</f>
        <v>47979.252466942933</v>
      </c>
      <c r="K25" s="12"/>
      <c r="L25" s="57">
        <f>SUM(L12:L24)</f>
        <v>40000</v>
      </c>
      <c r="M25" s="57">
        <f>SUM(M12:M24)</f>
        <v>6779.2524669429349</v>
      </c>
      <c r="N25" s="57">
        <f>SUM(N12:N24)</f>
        <v>36200</v>
      </c>
      <c r="O25" s="12"/>
      <c r="P25" s="57">
        <f>SUM(P12:P24)</f>
        <v>11779.252466942935</v>
      </c>
      <c r="Q25" s="58">
        <f>SUM(Q12:Q24)</f>
        <v>47979.252466942933</v>
      </c>
      <c r="R25" s="14"/>
      <c r="AD25" s="42"/>
    </row>
    <row r="26" spans="1:36" ht="17" thickBot="1">
      <c r="A26" s="27"/>
      <c r="B26" s="59" t="s">
        <v>43</v>
      </c>
      <c r="C26" s="29"/>
      <c r="D26" s="44"/>
      <c r="E26" s="12"/>
      <c r="F26" s="12"/>
      <c r="G26" s="12"/>
      <c r="H26" s="60">
        <f>H25*Housing_Value</f>
        <v>0</v>
      </c>
      <c r="I26" s="60">
        <f>I25*Housing_Value</f>
        <v>0</v>
      </c>
      <c r="J26" s="60">
        <f>J25*Pension_Rate</f>
        <v>8636.2654440497281</v>
      </c>
      <c r="K26" s="12"/>
      <c r="L26" s="12"/>
      <c r="M26" s="12"/>
      <c r="N26" s="12"/>
      <c r="O26" s="12"/>
      <c r="P26" s="12"/>
      <c r="Q26" s="11"/>
      <c r="R26" s="14"/>
      <c r="AH26" s="42"/>
    </row>
    <row r="27" spans="1:36">
      <c r="A27" s="41"/>
      <c r="B27" s="12"/>
      <c r="C27" s="12"/>
      <c r="D27" s="12"/>
      <c r="E27" s="12"/>
      <c r="F27" s="44"/>
      <c r="G27" s="44"/>
      <c r="H27" s="12"/>
      <c r="I27" s="12"/>
      <c r="J27" s="61">
        <f>SUM(J26)/SUM(C12:C20)</f>
        <v>0.18</v>
      </c>
      <c r="K27" s="12"/>
      <c r="L27" s="12"/>
      <c r="M27" s="12"/>
      <c r="N27" s="12"/>
      <c r="O27" s="12"/>
      <c r="P27" s="12"/>
      <c r="Q27" s="11"/>
      <c r="R27" s="11"/>
      <c r="S27" s="12"/>
      <c r="AI27" s="42"/>
      <c r="AJ27" s="42"/>
    </row>
    <row r="28" spans="1:36" ht="19">
      <c r="A28" s="62"/>
      <c r="B28" s="63"/>
      <c r="C28" s="63"/>
      <c r="D28" s="12"/>
      <c r="E28" s="12"/>
      <c r="F28" s="44"/>
      <c r="G28" s="44"/>
      <c r="H28" s="44"/>
      <c r="I28" s="44"/>
      <c r="J28" s="12"/>
      <c r="K28" s="12"/>
      <c r="L28" s="12"/>
      <c r="M28" s="12"/>
      <c r="N28" s="12"/>
      <c r="O28" s="12"/>
      <c r="P28" s="12"/>
      <c r="Q28" s="11"/>
      <c r="R28" s="11"/>
      <c r="S28" s="12"/>
    </row>
    <row r="29" spans="1:36" ht="17" thickBot="1">
      <c r="A29" s="41"/>
      <c r="B29" s="12"/>
      <c r="C29" s="12"/>
      <c r="D29" s="12"/>
      <c r="E29" s="12"/>
      <c r="F29" s="44"/>
      <c r="G29" s="12"/>
      <c r="H29" s="12"/>
      <c r="I29" s="64"/>
      <c r="J29" s="12"/>
      <c r="K29" s="12"/>
      <c r="L29" s="44"/>
      <c r="M29" s="12"/>
      <c r="N29" s="12"/>
      <c r="O29" s="12"/>
      <c r="P29" s="12"/>
      <c r="Q29" s="11"/>
      <c r="R29" s="11"/>
      <c r="S29" s="12"/>
      <c r="AH29" s="42"/>
    </row>
    <row r="30" spans="1:36" ht="17" thickBot="1">
      <c r="A30" s="65" t="s">
        <v>44</v>
      </c>
      <c r="B30" s="32"/>
      <c r="C30" s="66"/>
      <c r="D30" s="12"/>
      <c r="E30" s="67"/>
      <c r="F30" s="67"/>
      <c r="G30" s="67"/>
      <c r="H30" s="67"/>
      <c r="I30" s="67"/>
      <c r="J30" s="67"/>
      <c r="K30" s="12"/>
      <c r="L30" s="12"/>
      <c r="M30" s="68" t="s">
        <v>45</v>
      </c>
      <c r="N30" s="69"/>
      <c r="O30" s="69"/>
      <c r="P30" s="69"/>
      <c r="Q30" s="70"/>
      <c r="R30" s="11"/>
      <c r="S30" s="12"/>
      <c r="AH30" s="42"/>
    </row>
    <row r="31" spans="1:36" ht="17" thickBot="1">
      <c r="A31" s="33" t="s">
        <v>46</v>
      </c>
      <c r="B31" s="12"/>
      <c r="C31" s="43">
        <v>1200</v>
      </c>
      <c r="D31" s="12"/>
      <c r="E31" s="67"/>
      <c r="F31" s="68" t="s">
        <v>47</v>
      </c>
      <c r="G31" s="69"/>
      <c r="H31" s="69"/>
      <c r="I31" s="69"/>
      <c r="J31" s="70"/>
      <c r="K31" s="12"/>
      <c r="L31" s="12"/>
      <c r="M31" s="41" t="s">
        <v>48</v>
      </c>
      <c r="N31" s="12"/>
      <c r="O31" s="12"/>
      <c r="P31" s="12"/>
      <c r="Q31" s="45">
        <f>SUM(Q12:Q23)</f>
        <v>47979.252466942933</v>
      </c>
      <c r="R31" s="11"/>
      <c r="S31" s="71"/>
      <c r="T31" s="72"/>
      <c r="U31" s="72"/>
      <c r="V31" s="72"/>
      <c r="W31" s="72"/>
      <c r="X31" s="72"/>
      <c r="Y31" s="72"/>
      <c r="Z31" s="72"/>
      <c r="AA31" s="72"/>
    </row>
    <row r="32" spans="1:36">
      <c r="A32" s="33" t="s">
        <v>49</v>
      </c>
      <c r="B32" s="12"/>
      <c r="C32" s="43"/>
      <c r="D32" s="12"/>
      <c r="E32" s="73"/>
      <c r="F32" s="41" t="s">
        <v>50</v>
      </c>
      <c r="G32" s="12"/>
      <c r="H32" s="12"/>
      <c r="I32" s="12"/>
      <c r="J32" s="45">
        <f>Q39</f>
        <v>6779.2524669429349</v>
      </c>
      <c r="K32" s="12"/>
      <c r="L32" s="12"/>
      <c r="M32" s="41"/>
      <c r="N32" s="12"/>
      <c r="O32" s="12"/>
      <c r="P32" s="74" t="s">
        <v>51</v>
      </c>
      <c r="Q32" s="11"/>
      <c r="R32" s="11"/>
      <c r="S32" s="75"/>
      <c r="T32" s="76"/>
      <c r="U32" s="76"/>
      <c r="V32" s="76"/>
      <c r="W32" s="76"/>
      <c r="X32" s="76"/>
      <c r="Y32" s="76"/>
      <c r="Z32" s="76"/>
      <c r="AA32" s="77"/>
      <c r="AD32" s="42"/>
    </row>
    <row r="33" spans="1:30">
      <c r="A33" s="33" t="s">
        <v>52</v>
      </c>
      <c r="B33" s="12"/>
      <c r="C33" s="43"/>
      <c r="D33" s="12"/>
      <c r="E33" s="12"/>
      <c r="F33" s="41" t="s">
        <v>53</v>
      </c>
      <c r="G33" s="12"/>
      <c r="H33" s="12"/>
      <c r="I33" s="12"/>
      <c r="J33" s="78">
        <f>P25*FIT_average_rate</f>
        <v>1531.3028207025816</v>
      </c>
      <c r="K33" s="12"/>
      <c r="L33" s="12"/>
      <c r="M33" s="41"/>
      <c r="N33" s="12"/>
      <c r="O33" s="12"/>
      <c r="P33" s="74" t="s">
        <v>54</v>
      </c>
      <c r="Q33" s="45">
        <f>SUM(Q31*SE_tax_rate*0.5)</f>
        <v>3670.4128137211342</v>
      </c>
      <c r="R33" s="79"/>
      <c r="S33" s="80"/>
      <c r="T33" s="81" t="s">
        <v>55</v>
      </c>
      <c r="U33" s="81"/>
      <c r="V33" s="81"/>
      <c r="W33" s="72"/>
      <c r="X33" s="72"/>
      <c r="Y33" s="72"/>
      <c r="Z33" s="72"/>
      <c r="AA33" s="82"/>
    </row>
    <row r="34" spans="1:30" ht="17" thickBot="1">
      <c r="A34" s="33" t="s">
        <v>56</v>
      </c>
      <c r="B34" s="12"/>
      <c r="C34" s="43"/>
      <c r="D34" s="12"/>
      <c r="E34" s="12"/>
      <c r="F34" s="41" t="s">
        <v>57</v>
      </c>
      <c r="G34" s="12"/>
      <c r="H34" s="12"/>
      <c r="I34" s="12"/>
      <c r="J34" s="45">
        <f>J33+Q39</f>
        <v>8310.5552876455167</v>
      </c>
      <c r="K34" s="12"/>
      <c r="L34" s="12"/>
      <c r="M34" s="41"/>
      <c r="N34" s="12"/>
      <c r="O34" s="12"/>
      <c r="P34" s="74" t="s">
        <v>58</v>
      </c>
      <c r="Q34" s="58">
        <f>Q25-Q33</f>
        <v>44308.839653221796</v>
      </c>
      <c r="R34" s="83"/>
      <c r="S34" s="84">
        <f>SUM(Q34-C41)</f>
        <v>-155691.1603467782</v>
      </c>
      <c r="T34" s="71" t="s">
        <v>59</v>
      </c>
      <c r="U34" s="72"/>
      <c r="V34" s="72"/>
      <c r="W34" s="72"/>
      <c r="X34" s="72"/>
      <c r="Y34" s="72"/>
      <c r="Z34" s="72"/>
      <c r="AA34" s="82"/>
    </row>
    <row r="35" spans="1:30" ht="17" thickBot="1">
      <c r="A35" s="33" t="s">
        <v>60</v>
      </c>
      <c r="B35" s="85"/>
      <c r="C35" s="43">
        <v>0</v>
      </c>
      <c r="D35" s="12"/>
      <c r="E35" s="12"/>
      <c r="F35" s="68" t="s">
        <v>61</v>
      </c>
      <c r="G35" s="69"/>
      <c r="H35" s="69"/>
      <c r="I35" s="69"/>
      <c r="J35" s="70"/>
      <c r="K35" s="12"/>
      <c r="L35" s="12"/>
      <c r="M35" s="41"/>
      <c r="N35" s="12"/>
      <c r="O35" s="12"/>
      <c r="P35" s="12"/>
      <c r="Q35" s="11"/>
      <c r="R35" s="14"/>
      <c r="S35" s="71">
        <f>C42*S34</f>
        <v>-1401.2204431210037</v>
      </c>
      <c r="T35" s="86" t="s">
        <v>62</v>
      </c>
      <c r="U35" s="72"/>
      <c r="V35" s="72"/>
      <c r="W35" s="72"/>
      <c r="X35" s="72"/>
      <c r="Y35" s="72"/>
      <c r="Z35" s="72"/>
      <c r="AA35" s="82"/>
    </row>
    <row r="36" spans="1:30" ht="17" thickBot="1">
      <c r="A36" s="87"/>
      <c r="B36" s="88" t="s">
        <v>63</v>
      </c>
      <c r="C36" s="89">
        <f>SUM(C31:C35)</f>
        <v>1200</v>
      </c>
      <c r="D36" s="12"/>
      <c r="E36" s="12"/>
      <c r="F36" s="41" t="s">
        <v>64</v>
      </c>
      <c r="G36" s="12"/>
      <c r="H36" s="12"/>
      <c r="I36" s="12"/>
      <c r="J36" s="90">
        <f>D12/12</f>
        <v>416.66666666666669</v>
      </c>
      <c r="K36" s="12"/>
      <c r="L36" s="12"/>
      <c r="M36" s="41" t="s">
        <v>65</v>
      </c>
      <c r="N36" s="12"/>
      <c r="O36" s="12"/>
      <c r="P36" s="12" t="s">
        <v>66</v>
      </c>
      <c r="Q36" s="45">
        <f>MIN(SE_tax_base,Q34)*SE_tax_rate</f>
        <v>6779.2524669429349</v>
      </c>
      <c r="R36" s="14"/>
      <c r="S36" s="71"/>
      <c r="T36" s="71"/>
      <c r="U36" s="72"/>
      <c r="V36" s="72"/>
      <c r="W36" s="72"/>
      <c r="X36" s="72"/>
      <c r="Y36" s="72"/>
      <c r="Z36" s="72"/>
      <c r="AA36" s="82"/>
      <c r="AD36" s="42"/>
    </row>
    <row r="37" spans="1:30" ht="17" thickBot="1">
      <c r="A37" s="91" t="s">
        <v>67</v>
      </c>
      <c r="B37" s="32"/>
      <c r="C37" s="92"/>
      <c r="D37" s="12"/>
      <c r="E37" s="12"/>
      <c r="F37" s="41" t="s">
        <v>17</v>
      </c>
      <c r="G37" s="12"/>
      <c r="H37" s="12"/>
      <c r="I37" s="12"/>
      <c r="J37" s="90">
        <f>D13/12</f>
        <v>2916.6666666666665</v>
      </c>
      <c r="K37" s="12"/>
      <c r="L37" s="12"/>
      <c r="M37" s="41"/>
      <c r="N37" s="12"/>
      <c r="O37" s="12"/>
      <c r="P37" s="12" t="s">
        <v>68</v>
      </c>
      <c r="Q37" s="45">
        <f>C19+C20</f>
        <v>0</v>
      </c>
      <c r="R37" s="14"/>
      <c r="S37" s="71"/>
      <c r="T37" s="71"/>
      <c r="U37" s="72"/>
      <c r="V37" s="72"/>
      <c r="W37" s="72"/>
      <c r="X37" s="72"/>
      <c r="Y37" s="72"/>
      <c r="Z37" s="72"/>
      <c r="AA37" s="82"/>
    </row>
    <row r="38" spans="1:30">
      <c r="A38" s="93" t="s">
        <v>69</v>
      </c>
      <c r="B38" s="94" t="s">
        <v>70</v>
      </c>
      <c r="C38" s="95">
        <v>168600</v>
      </c>
      <c r="D38" s="12"/>
      <c r="E38" s="12"/>
      <c r="F38" s="41" t="s">
        <v>71</v>
      </c>
      <c r="G38" s="12"/>
      <c r="H38" s="12"/>
      <c r="I38" s="12"/>
      <c r="J38" s="90">
        <f>(C18+C19+C20)/12</f>
        <v>564.93770557857795</v>
      </c>
      <c r="K38" s="12"/>
      <c r="L38" s="12"/>
      <c r="M38" s="96"/>
      <c r="N38" s="71"/>
      <c r="O38" s="97" t="s">
        <v>72</v>
      </c>
      <c r="P38" s="71" t="s">
        <v>68</v>
      </c>
      <c r="Q38" s="98">
        <v>0</v>
      </c>
      <c r="R38" s="14"/>
      <c r="S38" s="71"/>
      <c r="T38" s="71"/>
      <c r="U38" s="72"/>
      <c r="V38" s="72"/>
      <c r="W38" s="72"/>
      <c r="X38" s="72"/>
      <c r="Y38" s="72"/>
      <c r="Z38" s="72"/>
      <c r="AA38" s="82"/>
    </row>
    <row r="39" spans="1:30" ht="17" thickBot="1">
      <c r="A39" s="99" t="s">
        <v>73</v>
      </c>
      <c r="B39" s="94"/>
      <c r="C39" s="100">
        <v>0.153</v>
      </c>
      <c r="D39" s="12"/>
      <c r="E39" s="12"/>
      <c r="F39" s="41" t="s">
        <v>74</v>
      </c>
      <c r="G39" s="12"/>
      <c r="H39" s="12"/>
      <c r="I39" s="12"/>
      <c r="J39" s="90">
        <f>D24/12</f>
        <v>0</v>
      </c>
      <c r="K39" s="12"/>
      <c r="L39" s="12"/>
      <c r="M39" s="101" t="s">
        <v>75</v>
      </c>
      <c r="N39" s="102">
        <f>SUM(Q39/SUM(C12:C17))</f>
        <v>0.16454496278987707</v>
      </c>
      <c r="O39" s="88"/>
      <c r="P39" s="88" t="s">
        <v>76</v>
      </c>
      <c r="Q39" s="103">
        <f>SUM(Q36:Q38)</f>
        <v>6779.2524669429349</v>
      </c>
      <c r="R39" s="14"/>
      <c r="S39" s="84">
        <f>SUM(C18:C19)</f>
        <v>6779.2524669429349</v>
      </c>
      <c r="T39" s="84">
        <f>SUM(Q39-S39)</f>
        <v>0</v>
      </c>
      <c r="U39" s="72"/>
      <c r="V39" s="72"/>
      <c r="W39" s="72"/>
      <c r="X39" s="72"/>
      <c r="Y39" s="72"/>
      <c r="Z39" s="72"/>
      <c r="AA39" s="82"/>
    </row>
    <row r="40" spans="1:30">
      <c r="A40" s="99" t="s">
        <v>77</v>
      </c>
      <c r="B40" s="67"/>
      <c r="C40" s="100">
        <v>2.9000000000000001E-2</v>
      </c>
      <c r="D40" s="12"/>
      <c r="E40" s="12"/>
      <c r="F40" s="41" t="s">
        <v>78</v>
      </c>
      <c r="G40" s="12"/>
      <c r="H40" s="12"/>
      <c r="I40" s="12"/>
      <c r="J40" s="90">
        <f>-J34/12</f>
        <v>-692.54627397045977</v>
      </c>
      <c r="K40" s="12"/>
      <c r="L40" s="12"/>
      <c r="Q40" s="14"/>
      <c r="R40" s="11"/>
      <c r="S40" s="71"/>
      <c r="T40" s="72"/>
      <c r="U40" s="72"/>
      <c r="V40" s="72"/>
      <c r="W40" s="72"/>
      <c r="X40" s="72"/>
      <c r="Y40" s="72"/>
      <c r="Z40" s="72"/>
      <c r="AA40" s="82"/>
    </row>
    <row r="41" spans="1:30">
      <c r="A41" s="33" t="s">
        <v>79</v>
      </c>
      <c r="B41" s="104"/>
      <c r="C41" s="105">
        <v>200000</v>
      </c>
      <c r="D41" s="12"/>
      <c r="E41" s="73"/>
      <c r="F41" s="13"/>
      <c r="J41" s="14"/>
      <c r="K41" s="12"/>
      <c r="L41" s="12"/>
      <c r="Q41" s="14"/>
      <c r="R41" s="11"/>
      <c r="S41" s="71"/>
      <c r="T41" s="72"/>
      <c r="U41" s="72"/>
      <c r="V41" s="72"/>
      <c r="W41" s="72"/>
      <c r="X41" s="72"/>
      <c r="Y41" s="72"/>
      <c r="Z41" s="72"/>
      <c r="AA41" s="82"/>
    </row>
    <row r="42" spans="1:30" ht="17" thickBot="1">
      <c r="A42" s="33" t="s">
        <v>80</v>
      </c>
      <c r="B42" s="104"/>
      <c r="C42" s="106">
        <v>8.9999999999999993E-3</v>
      </c>
      <c r="D42" s="12"/>
      <c r="E42" s="73"/>
      <c r="F42" s="41"/>
      <c r="G42" s="12"/>
      <c r="H42" s="12"/>
      <c r="I42" s="12"/>
      <c r="J42" s="107"/>
      <c r="K42" s="12"/>
      <c r="L42" s="12"/>
      <c r="Q42" s="83"/>
      <c r="R42" s="11"/>
      <c r="S42" s="108"/>
      <c r="T42" s="109"/>
      <c r="U42" s="109"/>
      <c r="V42" s="109"/>
      <c r="W42" s="109"/>
      <c r="X42" s="109"/>
      <c r="Y42" s="109"/>
      <c r="Z42" s="109"/>
      <c r="AA42" s="110"/>
    </row>
    <row r="43" spans="1:30" ht="17" thickBot="1">
      <c r="A43" s="99" t="s">
        <v>81</v>
      </c>
      <c r="B43" s="67"/>
      <c r="C43" s="111">
        <v>0.18</v>
      </c>
      <c r="D43" s="12"/>
      <c r="E43" s="12"/>
      <c r="F43" s="87" t="s">
        <v>82</v>
      </c>
      <c r="G43" s="88"/>
      <c r="H43" s="88"/>
      <c r="I43" s="88"/>
      <c r="J43" s="112">
        <f>SUM(J36:J42)</f>
        <v>3205.7247649414512</v>
      </c>
      <c r="K43" s="12"/>
      <c r="L43" s="12"/>
      <c r="Q43" s="14"/>
      <c r="R43" s="11"/>
      <c r="S43" s="71"/>
      <c r="T43" s="72"/>
      <c r="U43" s="72"/>
      <c r="V43" s="72"/>
      <c r="W43" s="72"/>
      <c r="X43" s="72"/>
      <c r="Y43" s="72"/>
      <c r="Z43" s="72"/>
      <c r="AA43" s="72"/>
    </row>
    <row r="44" spans="1:30" ht="17" thickBot="1">
      <c r="A44" s="113" t="s">
        <v>83</v>
      </c>
      <c r="B44" s="114" t="s">
        <v>84</v>
      </c>
      <c r="C44" s="115">
        <v>0.3</v>
      </c>
      <c r="D44" s="12"/>
      <c r="E44" s="12"/>
      <c r="F44" s="12"/>
      <c r="G44" s="12"/>
      <c r="H44" s="12"/>
      <c r="I44" s="64"/>
      <c r="J44" s="44"/>
      <c r="K44" s="12"/>
      <c r="L44" s="12"/>
      <c r="Q44" s="14"/>
      <c r="R44" s="11"/>
      <c r="S44" s="71"/>
      <c r="T44" s="72"/>
      <c r="U44" s="72"/>
      <c r="V44" s="72"/>
      <c r="W44" s="72"/>
      <c r="X44" s="72"/>
      <c r="Y44" s="72"/>
      <c r="Z44" s="72"/>
      <c r="AA44" s="72"/>
    </row>
    <row r="45" spans="1:30">
      <c r="A45" s="116" t="s">
        <v>85</v>
      </c>
      <c r="B45" s="117"/>
      <c r="C45" s="118">
        <v>0.28000000000000003</v>
      </c>
      <c r="D45" s="12"/>
      <c r="E45" s="12"/>
      <c r="F45" s="12" t="s">
        <v>86</v>
      </c>
      <c r="G45" s="12"/>
      <c r="H45" s="12"/>
      <c r="I45" s="12"/>
      <c r="J45" s="44"/>
      <c r="K45" s="12"/>
      <c r="L45" s="12"/>
      <c r="Q45" s="14"/>
      <c r="R45" s="11"/>
      <c r="S45" s="12"/>
    </row>
    <row r="46" spans="1:30">
      <c r="A46" s="41"/>
      <c r="B46" s="12" t="s">
        <v>87</v>
      </c>
      <c r="C46" s="11"/>
      <c r="D46" s="12"/>
      <c r="E46" s="12"/>
      <c r="F46" s="119" t="s">
        <v>88</v>
      </c>
      <c r="G46" s="12"/>
      <c r="H46" s="12"/>
      <c r="I46" s="12"/>
      <c r="J46" s="44"/>
      <c r="K46" s="12"/>
      <c r="L46" s="12"/>
      <c r="Q46" s="14"/>
      <c r="R46" s="11"/>
      <c r="S46" s="12"/>
    </row>
    <row r="47" spans="1:30">
      <c r="A47" s="41"/>
      <c r="B47" s="12" t="s">
        <v>89</v>
      </c>
      <c r="C47" s="11"/>
      <c r="D47" s="12"/>
      <c r="E47" s="12"/>
      <c r="F47" s="119" t="s">
        <v>90</v>
      </c>
      <c r="G47" s="12"/>
      <c r="H47" s="12"/>
      <c r="I47" s="12"/>
      <c r="J47" s="44"/>
      <c r="K47" s="12"/>
      <c r="L47" s="12"/>
      <c r="Q47" s="14"/>
      <c r="R47" s="11"/>
      <c r="S47" s="12"/>
    </row>
    <row r="48" spans="1:30">
      <c r="A48" s="41" t="s">
        <v>91</v>
      </c>
      <c r="B48" s="12"/>
      <c r="C48" s="111">
        <v>0.13</v>
      </c>
      <c r="D48" s="12"/>
      <c r="E48" s="12"/>
      <c r="F48" s="119"/>
      <c r="G48" s="12"/>
      <c r="H48" s="12"/>
      <c r="I48" s="64"/>
      <c r="J48" s="44"/>
      <c r="K48" s="12"/>
      <c r="L48" s="12"/>
      <c r="Q48" s="14"/>
      <c r="R48" s="11"/>
      <c r="S48" s="12"/>
    </row>
    <row r="49" spans="1:19">
      <c r="A49" s="41"/>
      <c r="B49" s="12" t="s">
        <v>92</v>
      </c>
      <c r="C49" s="11"/>
      <c r="D49" s="12"/>
      <c r="E49" s="12"/>
      <c r="F49" s="12" t="s">
        <v>93</v>
      </c>
      <c r="G49" s="12"/>
      <c r="H49" s="12"/>
      <c r="I49" s="12"/>
      <c r="J49" s="12"/>
      <c r="K49" s="12"/>
      <c r="L49" s="12"/>
      <c r="Q49" s="14"/>
      <c r="R49" s="11"/>
      <c r="S49" s="12"/>
    </row>
    <row r="50" spans="1:19" ht="17" thickBot="1">
      <c r="A50" s="87"/>
      <c r="B50" s="88" t="s">
        <v>94</v>
      </c>
      <c r="C50" s="92"/>
      <c r="D50" s="88"/>
      <c r="E50" s="120"/>
      <c r="F50" s="88"/>
      <c r="G50" s="88"/>
      <c r="H50" s="88"/>
      <c r="I50" s="88"/>
      <c r="J50" s="121"/>
      <c r="K50" s="88"/>
      <c r="L50" s="88"/>
      <c r="M50" s="28"/>
      <c r="N50" s="28"/>
      <c r="O50" s="28"/>
      <c r="P50" s="28"/>
      <c r="Q50" s="29"/>
      <c r="R50" s="11"/>
      <c r="S50" s="12"/>
    </row>
    <row r="51" spans="1:19">
      <c r="A51" s="4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R51" s="11"/>
      <c r="S51" s="12"/>
    </row>
    <row r="52" spans="1:19">
      <c r="E52" s="12"/>
      <c r="F52" s="12"/>
      <c r="G52" s="12"/>
      <c r="H52" s="12"/>
      <c r="I52" s="12"/>
      <c r="J52" s="12"/>
      <c r="M52" s="12"/>
      <c r="R52" s="12"/>
      <c r="S52" s="12"/>
    </row>
    <row r="53" spans="1:19">
      <c r="M53" s="12"/>
      <c r="N53" s="12"/>
      <c r="O53" s="12"/>
      <c r="P53" s="12"/>
      <c r="Q53" s="12"/>
    </row>
  </sheetData>
  <sheetProtection algorithmName="SHA-512" hashValue="pV5GLuOn7kCE2FPAe752V1n5yOP/QyglmtkCgAWc6FXMhMJ51lgPj5T/nymtTyQDVlQzhUu3yiBfDK/9SqX/vQ==" saltValue="cKPIisTiaXN0wXkm46sejQ==" spinCount="100000" sheet="1" formatCells="0" formatColumns="0" formatRows="0" insertColumns="0" insertRows="0"/>
  <protectedRanges>
    <protectedRange sqref="C16:C17" name="Range7"/>
    <protectedRange password="CA05" sqref="C24" name="Tax Annuity"/>
    <protectedRange password="CA05" sqref="A9" name="Rectory"/>
    <protectedRange password="CA05" sqref="B4:C6" name="Name Info"/>
    <protectedRange password="CA05" sqref="C12:C13" name="Compenstion Info"/>
    <protectedRange password="CA05" sqref="C31:C35" name="Utilities Detail"/>
    <protectedRange password="CA05" sqref="B35" name="Other Utili"/>
  </protectedRanges>
  <mergeCells count="6">
    <mergeCell ref="P9:Q9"/>
    <mergeCell ref="B4:C4"/>
    <mergeCell ref="B5:C5"/>
    <mergeCell ref="B6:C6"/>
    <mergeCell ref="D9:F9"/>
    <mergeCell ref="L9:N9"/>
  </mergeCells>
  <printOptions gridLines="1"/>
  <pageMargins left="0.25" right="0.25" top="0.5" bottom="0.5" header="0.25" footer="0.25"/>
  <pageSetup scale="55" orientation="landscape" horizontalDpi="300" verticalDpi="300" r:id="rId1"/>
  <headerFooter alignWithMargins="0">
    <oddHeader>&amp;CEpiscopal Diocese of Texas - Clergy Compensation Worksheet for 2018</oddHeader>
    <oddFooter>&amp;C&amp;D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dbb907-cb20-437c-acf6-4b6721bfb2fa" xsi:nil="true"/>
    <lcf76f155ced4ddcb4097134ff3c332f xmlns="8f507ae7-6d63-40eb-8f25-d55539588ff6">
      <Terms xmlns="http://schemas.microsoft.com/office/infopath/2007/PartnerControls"/>
    </lcf76f155ced4ddcb4097134ff3c332f>
    <_dlc_DocId xmlns="5edbb907-cb20-437c-acf6-4b6721bfb2fa">HYZDXXRYQ5Y4-583111430-21021</_dlc_DocId>
    <_dlc_DocIdUrl xmlns="5edbb907-cb20-437c-acf6-4b6721bfb2fa">
      <Url>https://epicenterorg.sharepoint.com/sites/EDoTDocs/FDWorking/_layouts/15/DocIdRedir.aspx?ID=HYZDXXRYQ5Y4-583111430-21021</Url>
      <Description>HYZDXXRYQ5Y4-583111430-21021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40EC62CDD684AB780BC666B1AC59F" ma:contentTypeVersion="1144" ma:contentTypeDescription="Create a new document." ma:contentTypeScope="" ma:versionID="534896bfaee66d1ac4bdc94d5c54f9ed">
  <xsd:schema xmlns:xsd="http://www.w3.org/2001/XMLSchema" xmlns:xs="http://www.w3.org/2001/XMLSchema" xmlns:p="http://schemas.microsoft.com/office/2006/metadata/properties" xmlns:ns2="5edbb907-cb20-437c-acf6-4b6721bfb2fa" xmlns:ns3="8f507ae7-6d63-40eb-8f25-d55539588ff6" targetNamespace="http://schemas.microsoft.com/office/2006/metadata/properties" ma:root="true" ma:fieldsID="f7af971b2dfdb0e47545104ae99f4220" ns2:_="" ns3:_="">
    <xsd:import namespace="5edbb907-cb20-437c-acf6-4b6721bfb2fa"/>
    <xsd:import namespace="8f507ae7-6d63-40eb-8f25-d55539588ff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bb907-cb20-437c-acf6-4b6721bfb2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c4d66668-8748-488a-8594-4518513cb55c}" ma:internalName="TaxCatchAll" ma:showField="CatchAllData" ma:web="5edbb907-cb20-437c-acf6-4b6721bfb2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07ae7-6d63-40eb-8f25-d55539588f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f5a1f9-8cb0-4656-b489-d682cd31cf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E692F8-4012-45BE-9D92-39B1DA34D868}">
  <ds:schemaRefs>
    <ds:schemaRef ds:uri="http://schemas.microsoft.com/office/2006/metadata/properties"/>
    <ds:schemaRef ds:uri="http://schemas.microsoft.com/office/infopath/2007/PartnerControls"/>
    <ds:schemaRef ds:uri="5edbb907-cb20-437c-acf6-4b6721bfb2fa"/>
    <ds:schemaRef ds:uri="8f507ae7-6d63-40eb-8f25-d55539588ff6"/>
  </ds:schemaRefs>
</ds:datastoreItem>
</file>

<file path=customXml/itemProps2.xml><?xml version="1.0" encoding="utf-8"?>
<ds:datastoreItem xmlns:ds="http://schemas.openxmlformats.org/officeDocument/2006/customXml" ds:itemID="{E83CA71B-EF4F-4B01-BD65-B4230B742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bb907-cb20-437c-acf6-4b6721bfb2fa"/>
    <ds:schemaRef ds:uri="8f507ae7-6d63-40eb-8f25-d55539588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86C2EE-7AF0-4D1F-A996-1A939C08837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6F67C41-1821-4F6C-A4ED-0982777602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2024</vt:lpstr>
      <vt:lpstr>'2024'!FIT_average_rate</vt:lpstr>
      <vt:lpstr>'2024'!FIT_marginal_rate</vt:lpstr>
      <vt:lpstr>'2024'!H</vt:lpstr>
      <vt:lpstr>'2024'!Housing_Value</vt:lpstr>
      <vt:lpstr>'2024'!MC_tax_rate</vt:lpstr>
      <vt:lpstr>'2024'!Pension_Rate</vt:lpstr>
      <vt:lpstr>'2024'!Print_Area</vt:lpstr>
      <vt:lpstr>'2024'!Rectory?</vt:lpstr>
      <vt:lpstr>'2024'!S</vt:lpstr>
      <vt:lpstr>'2024'!SE_tax_base</vt:lpstr>
      <vt:lpstr>'2024'!SE_tax_rate</vt:lpstr>
      <vt:lpstr>'2024'!SSR</vt:lpstr>
      <vt:lpstr>'2024'!U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 Turnbull</dc:creator>
  <cp:lastModifiedBy>Microsoft Office User</cp:lastModifiedBy>
  <dcterms:created xsi:type="dcterms:W3CDTF">2023-11-15T17:10:00Z</dcterms:created>
  <dcterms:modified xsi:type="dcterms:W3CDTF">2023-11-29T17:08:34Z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0x010100D9C40EC62CDD684AB780BC666B1AC59F</vt:lpwstr>
  </property>
  <property fmtid="{D5CDD505-2E9C-101B-9397-08002B2CF9AE}" pid="3" name="_dlc_DocIdItemGuid">
    <vt:lpwstr>adcea5d6-2370-4409-969a-7ff1c382c09f</vt:lpwstr>
  </property>
</Properties>
</file>